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0332" windowHeight="5592" tabRatio="479"/>
  </bookViews>
  <sheets>
    <sheet name="COWY AFS FY20 Budget" sheetId="1" r:id="rId1"/>
    <sheet name="Past Meeting Averages" sheetId="2" r:id="rId2"/>
  </sheets>
  <definedNames>
    <definedName name="_xlnm.Print_Area" localSheetId="0">'COWY AFS FY20 Budget'!$A$1:$D$78</definedName>
  </definedNames>
  <calcPr calcId="162913"/>
</workbook>
</file>

<file path=xl/calcChain.xml><?xml version="1.0" encoding="utf-8"?>
<calcChain xmlns="http://schemas.openxmlformats.org/spreadsheetml/2006/main">
  <c r="B21" i="2"/>
  <c r="C21"/>
  <c r="B18"/>
  <c r="C18" l="1"/>
  <c r="D18"/>
  <c r="C19" l="1"/>
  <c r="D19"/>
  <c r="E19"/>
  <c r="F19"/>
  <c r="C20"/>
  <c r="D20"/>
  <c r="E20"/>
  <c r="F20"/>
  <c r="B20"/>
  <c r="B19"/>
  <c r="C16"/>
  <c r="D16"/>
  <c r="E16"/>
  <c r="F16"/>
  <c r="C17"/>
  <c r="D17"/>
  <c r="E17"/>
  <c r="F17"/>
  <c r="B17"/>
  <c r="B16"/>
  <c r="C24" i="1" l="1"/>
  <c r="D17"/>
  <c r="C16" s="1"/>
  <c r="E8" i="2"/>
  <c r="C28" i="1"/>
  <c r="C20"/>
  <c r="F10" i="2" l="1"/>
  <c r="E10"/>
  <c r="D10"/>
  <c r="C10"/>
  <c r="B10"/>
  <c r="B8"/>
  <c r="C47" i="1" l="1"/>
  <c r="C41"/>
  <c r="E11" i="2"/>
  <c r="D11"/>
  <c r="C11"/>
  <c r="B11"/>
  <c r="C9"/>
  <c r="E9"/>
  <c r="D8"/>
  <c r="D9" s="1"/>
  <c r="C8"/>
  <c r="B9"/>
  <c r="F6"/>
  <c r="F5"/>
  <c r="F11" s="1"/>
  <c r="F4"/>
  <c r="F3"/>
  <c r="F2"/>
  <c r="F8" l="1"/>
  <c r="F9" s="1"/>
  <c r="C65" i="1" l="1"/>
  <c r="C70" s="1"/>
  <c r="C60"/>
  <c r="C58" l="1"/>
  <c r="C56"/>
  <c r="C54"/>
  <c r="C35" l="1"/>
  <c r="C63"/>
  <c r="C13"/>
  <c r="C3" l="1"/>
  <c r="C39"/>
  <c r="C37"/>
  <c r="C52" l="1"/>
  <c r="C75" s="1"/>
  <c r="C77"/>
  <c r="C76" l="1"/>
  <c r="C78" s="1"/>
</calcChain>
</file>

<file path=xl/sharedStrings.xml><?xml version="1.0" encoding="utf-8"?>
<sst xmlns="http://schemas.openxmlformats.org/spreadsheetml/2006/main" count="113" uniqueCount="96">
  <si>
    <t>Savings</t>
  </si>
  <si>
    <t>WD Investment Fund (value fluctuates)</t>
  </si>
  <si>
    <t>INCOME</t>
  </si>
  <si>
    <t>Estimated</t>
  </si>
  <si>
    <t>Itemized</t>
  </si>
  <si>
    <t>Annual Meeting Income</t>
  </si>
  <si>
    <t>TOTAL INCOME</t>
  </si>
  <si>
    <t>ANNUAL MEETING EXPENSES</t>
  </si>
  <si>
    <t>Continuing Education Committee</t>
  </si>
  <si>
    <t xml:space="preserve">     Continuing Education Workshop</t>
  </si>
  <si>
    <t xml:space="preserve">     Mailings etc.</t>
  </si>
  <si>
    <t>Raffle Committee</t>
  </si>
  <si>
    <t xml:space="preserve">     Raffle (seed money)</t>
  </si>
  <si>
    <t>BYLAW APPROVED EXPENSES</t>
  </si>
  <si>
    <t>CSU Student Sub-unit</t>
  </si>
  <si>
    <t xml:space="preserve">    Annual Contribution</t>
  </si>
  <si>
    <t>Executive Committee</t>
  </si>
  <si>
    <t>UW Student Sub-unit</t>
  </si>
  <si>
    <t>Endowment Committee</t>
  </si>
  <si>
    <t>Archive Committee</t>
  </si>
  <si>
    <t>Website Committee</t>
  </si>
  <si>
    <t xml:space="preserve">    Web Domain Registration</t>
  </si>
  <si>
    <t>Other</t>
  </si>
  <si>
    <t xml:space="preserve">     Donations (Western Division)</t>
  </si>
  <si>
    <t xml:space="preserve">     Tax Preparation</t>
  </si>
  <si>
    <t>Annual</t>
  </si>
  <si>
    <t>ANNUAL CHAPTER EXPENSES</t>
  </si>
  <si>
    <t xml:space="preserve">     Liability Insurance</t>
  </si>
  <si>
    <t xml:space="preserve">    Annual Contribution </t>
  </si>
  <si>
    <t>AV</t>
  </si>
  <si>
    <t>ESTIMATED ANNUAL MEETING PROFITS</t>
  </si>
  <si>
    <t>CHAPTER-APPROVED EXPENSES</t>
  </si>
  <si>
    <t xml:space="preserve">Checking </t>
  </si>
  <si>
    <t xml:space="preserve"> </t>
  </si>
  <si>
    <t>Base Registration Cost</t>
  </si>
  <si>
    <t xml:space="preserve">     Hotel fees for screens and podiums</t>
  </si>
  <si>
    <t>Speaker costs and donations</t>
  </si>
  <si>
    <t xml:space="preserve">     Mentoring Committee</t>
  </si>
  <si>
    <t xml:space="preserve">     Complimentary Rooms</t>
  </si>
  <si>
    <t>CO/WY AFS Member Travel Grants</t>
  </si>
  <si>
    <t>Parent society refund</t>
  </si>
  <si>
    <t>CMU Student Sub-unit</t>
  </si>
  <si>
    <t>Mentoring Committee</t>
  </si>
  <si>
    <t xml:space="preserve">    Reimbursement for travel, meeting registration, books</t>
  </si>
  <si>
    <t>Food and Meeting Space Charges</t>
  </si>
  <si>
    <t xml:space="preserve">    Travel expenses for CO-WY professional member travel to WD or Society Meeting </t>
  </si>
  <si>
    <t xml:space="preserve">    Travel expenses for CO-WY member(s) travel to WD or Society Meeting </t>
  </si>
  <si>
    <t xml:space="preserve">    Travel expenses for CO-WY student member travel to WD or Society Meeting </t>
  </si>
  <si>
    <t xml:space="preserve">     Registrant souvenirs and committee member lagniappe</t>
  </si>
  <si>
    <t xml:space="preserve">    EXCOM Meeting Meals</t>
  </si>
  <si>
    <t>Raffle/Auction Income</t>
  </si>
  <si>
    <t>Donations</t>
  </si>
  <si>
    <t>Year</t>
  </si>
  <si>
    <t>Attendees</t>
  </si>
  <si>
    <t>Raffle/Auction</t>
  </si>
  <si>
    <t>AVG</t>
  </si>
  <si>
    <t>90% AVG</t>
  </si>
  <si>
    <t>EXCOM-APPROVED EXPENSES IN 2019 (NOT TO EXCEED $2,000)</t>
  </si>
  <si>
    <t>123Signup</t>
  </si>
  <si>
    <t>123signup Corrected</t>
  </si>
  <si>
    <t xml:space="preserve">NOTE: corrected is total from 123signup minus donations made by credit card (all years) and any credit cards run on the day of the banquet </t>
  </si>
  <si>
    <t>indicating raffle purchases (only 2014-2016 since we started using square in 2017).</t>
  </si>
  <si>
    <t>4 YR AVG</t>
  </si>
  <si>
    <t>90% 4 YR</t>
  </si>
  <si>
    <t>CO/WY AFS Matching Funds for CMU Endowment (over 5 years)</t>
  </si>
  <si>
    <t xml:space="preserve">     Annual Contribution</t>
  </si>
  <si>
    <t>WD AFS Student Colloquium</t>
  </si>
  <si>
    <t>Colorado-Wyoming AFS Fiscal Year 2020 Budget</t>
  </si>
  <si>
    <t xml:space="preserve">     Presenter and Chapter Awards</t>
  </si>
  <si>
    <t>Proposed Budget</t>
  </si>
  <si>
    <t xml:space="preserve">     UW Catering Charges</t>
  </si>
  <si>
    <t xml:space="preserve">     UW Conference Center Room Charges</t>
  </si>
  <si>
    <t xml:space="preserve">     Nametags, Program Printing, and Registration</t>
  </si>
  <si>
    <t>CHAPTER BALANCES (as of August 1, 2019)</t>
  </si>
  <si>
    <t xml:space="preserve">    VP Travel to WD Meeting in Vancouver, British Columbia (ESTIMATED)</t>
  </si>
  <si>
    <t xml:space="preserve">    Registration fee</t>
  </si>
  <si>
    <t xml:space="preserve">     Student-hosted Social</t>
  </si>
  <si>
    <t>Combined the line items of awards for presenters (papers and posters) as well as Chapter awards</t>
  </si>
  <si>
    <t>Combined the line items for nametags, program printing, and other registration related costs</t>
  </si>
  <si>
    <t>Added as a chapter line item in 2018</t>
  </si>
  <si>
    <t>Cost from 2018 meeting</t>
  </si>
  <si>
    <t>Approximate actual cost of 2018 meeting</t>
  </si>
  <si>
    <t xml:space="preserve">     President Travel to WD Mid-year Meeting  (Boise, ID)</t>
  </si>
  <si>
    <t>Remaining commitment to CMU to complete endowment.</t>
  </si>
  <si>
    <t xml:space="preserve"> 3.5% now charged by 123Signup, Eventbright, etc. and 3% credit card fee based on the 2020 projected attendance.</t>
  </si>
  <si>
    <t>TOTAL PROJECTED EXPENSES</t>
  </si>
  <si>
    <t>PROJECTED CHAPTER ENDING BALANCE</t>
  </si>
  <si>
    <t>FY 20 NET</t>
  </si>
  <si>
    <t>2yr CO Ave</t>
  </si>
  <si>
    <t>2 yr WY Ave</t>
  </si>
  <si>
    <t>3 yr CO ave</t>
  </si>
  <si>
    <t>3 yr WY ave</t>
  </si>
  <si>
    <t>Annual Meeting Income based on projected attendance of 185 (90% of the four-year average) maintaining the same registration cost of 2019 meeting, proportioned by registration type from 2018.</t>
  </si>
  <si>
    <t>90% of the average of the 2016 and 2018 meetings</t>
  </si>
  <si>
    <t>90% of 2-yr</t>
  </si>
  <si>
    <t>Approximate cost based upon the projected attendance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</si>
</sst>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</numFmts>
  <fonts count="3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94">
    <xf numFmtId="0" fontId="0" fillId="0" borderId="0" xfId="0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165" fontId="24" fillId="24" borderId="10" xfId="0" applyNumberFormat="1" applyFont="1" applyFill="1" applyBorder="1" applyAlignment="1">
      <alignment horizontal="left"/>
    </xf>
    <xf numFmtId="0" fontId="26" fillId="0" borderId="13" xfId="0" applyFont="1" applyBorder="1"/>
    <xf numFmtId="165" fontId="22" fillId="0" borderId="14" xfId="0" applyNumberFormat="1" applyFont="1" applyBorder="1" applyAlignment="1">
      <alignment horizontal="right"/>
    </xf>
    <xf numFmtId="0" fontId="26" fillId="0" borderId="15" xfId="0" applyFont="1" applyBorder="1"/>
    <xf numFmtId="164" fontId="22" fillId="0" borderId="16" xfId="0" applyNumberFormat="1" applyFont="1" applyBorder="1" applyAlignment="1">
      <alignment horizontal="center"/>
    </xf>
    <xf numFmtId="0" fontId="24" fillId="24" borderId="17" xfId="0" applyFont="1" applyFill="1" applyBorder="1"/>
    <xf numFmtId="164" fontId="25" fillId="24" borderId="18" xfId="0" applyNumberFormat="1" applyFont="1" applyFill="1" applyBorder="1" applyAlignment="1">
      <alignment horizontal="center"/>
    </xf>
    <xf numFmtId="165" fontId="25" fillId="24" borderId="19" xfId="0" applyNumberFormat="1" applyFont="1" applyFill="1" applyBorder="1" applyAlignment="1"/>
    <xf numFmtId="0" fontId="23" fillId="0" borderId="21" xfId="0" applyFont="1" applyBorder="1"/>
    <xf numFmtId="0" fontId="24" fillId="24" borderId="22" xfId="0" applyFont="1" applyFill="1" applyBorder="1"/>
    <xf numFmtId="165" fontId="22" fillId="25" borderId="23" xfId="0" applyNumberFormat="1" applyFont="1" applyFill="1" applyBorder="1"/>
    <xf numFmtId="0" fontId="22" fillId="0" borderId="0" xfId="0" applyFont="1"/>
    <xf numFmtId="165" fontId="22" fillId="0" borderId="25" xfId="0" applyNumberFormat="1" applyFont="1" applyBorder="1"/>
    <xf numFmtId="165" fontId="22" fillId="25" borderId="25" xfId="0" applyNumberFormat="1" applyFont="1" applyFill="1" applyBorder="1"/>
    <xf numFmtId="165" fontId="22" fillId="0" borderId="25" xfId="0" applyNumberFormat="1" applyFont="1" applyFill="1" applyBorder="1"/>
    <xf numFmtId="165" fontId="22" fillId="0" borderId="25" xfId="0" applyNumberFormat="1" applyFont="1" applyBorder="1" applyAlignment="1">
      <alignment horizontal="right"/>
    </xf>
    <xf numFmtId="165" fontId="22" fillId="26" borderId="26" xfId="0" applyNumberFormat="1" applyFont="1" applyFill="1" applyBorder="1" applyAlignment="1">
      <alignment horizontal="right"/>
    </xf>
    <xf numFmtId="165" fontId="22" fillId="25" borderId="25" xfId="0" applyNumberFormat="1" applyFont="1" applyFill="1" applyBorder="1" applyAlignment="1">
      <alignment horizontal="right"/>
    </xf>
    <xf numFmtId="165" fontId="25" fillId="24" borderId="19" xfId="0" applyNumberFormat="1" applyFont="1" applyFill="1" applyBorder="1" applyAlignment="1">
      <alignment horizontal="right"/>
    </xf>
    <xf numFmtId="164" fontId="25" fillId="24" borderId="27" xfId="0" applyNumberFormat="1" applyFont="1" applyFill="1" applyBorder="1" applyAlignment="1">
      <alignment horizontal="center"/>
    </xf>
    <xf numFmtId="165" fontId="22" fillId="0" borderId="25" xfId="0" applyNumberFormat="1" applyFont="1" applyFill="1" applyBorder="1" applyAlignment="1">
      <alignment horizontal="right"/>
    </xf>
    <xf numFmtId="165" fontId="22" fillId="26" borderId="25" xfId="0" applyNumberFormat="1" applyFont="1" applyFill="1" applyBorder="1" applyAlignment="1">
      <alignment horizontal="right"/>
    </xf>
    <xf numFmtId="164" fontId="25" fillId="24" borderId="28" xfId="0" applyNumberFormat="1" applyFont="1" applyFill="1" applyBorder="1" applyAlignment="1">
      <alignment horizontal="center"/>
    </xf>
    <xf numFmtId="165" fontId="25" fillId="24" borderId="14" xfId="0" applyNumberFormat="1" applyFont="1" applyFill="1" applyBorder="1" applyAlignment="1">
      <alignment horizontal="right"/>
    </xf>
    <xf numFmtId="0" fontId="20" fillId="0" borderId="0" xfId="0" applyFont="1" applyFill="1"/>
    <xf numFmtId="0" fontId="0" fillId="0" borderId="0" xfId="0" applyFill="1"/>
    <xf numFmtId="165" fontId="22" fillId="25" borderId="24" xfId="0" applyNumberFormat="1" applyFont="1" applyFill="1" applyBorder="1"/>
    <xf numFmtId="0" fontId="22" fillId="0" borderId="25" xfId="0" applyFont="1" applyBorder="1"/>
    <xf numFmtId="0" fontId="27" fillId="0" borderId="0" xfId="0" applyFont="1"/>
    <xf numFmtId="164" fontId="20" fillId="0" borderId="0" xfId="0" applyNumberFormat="1" applyFont="1" applyAlignment="1">
      <alignment horizontal="left"/>
    </xf>
    <xf numFmtId="165" fontId="22" fillId="0" borderId="0" xfId="0" applyNumberFormat="1" applyFont="1" applyAlignment="1">
      <alignment horizontal="center"/>
    </xf>
    <xf numFmtId="0" fontId="25" fillId="24" borderId="22" xfId="0" applyFont="1" applyFill="1" applyBorder="1"/>
    <xf numFmtId="0" fontId="28" fillId="0" borderId="0" xfId="0" applyFont="1" applyAlignment="1">
      <alignment horizontal="left"/>
    </xf>
    <xf numFmtId="0" fontId="20" fillId="0" borderId="25" xfId="0" applyFont="1" applyBorder="1"/>
    <xf numFmtId="0" fontId="20" fillId="0" borderId="29" xfId="0" applyFont="1" applyBorder="1"/>
    <xf numFmtId="164" fontId="22" fillId="0" borderId="0" xfId="0" applyNumberFormat="1" applyFont="1" applyBorder="1"/>
    <xf numFmtId="0" fontId="6" fillId="0" borderId="0" xfId="0" applyFont="1"/>
    <xf numFmtId="0" fontId="22" fillId="25" borderId="31" xfId="0" applyFont="1" applyFill="1" applyBorder="1"/>
    <xf numFmtId="0" fontId="22" fillId="0" borderId="32" xfId="0" applyFont="1" applyBorder="1"/>
    <xf numFmtId="0" fontId="22" fillId="0" borderId="33" xfId="0" applyFont="1" applyBorder="1"/>
    <xf numFmtId="0" fontId="22" fillId="25" borderId="33" xfId="0" applyFont="1" applyFill="1" applyBorder="1"/>
    <xf numFmtId="0" fontId="22" fillId="0" borderId="33" xfId="0" applyFont="1" applyFill="1" applyBorder="1"/>
    <xf numFmtId="0" fontId="25" fillId="26" borderId="34" xfId="0" applyFont="1" applyFill="1" applyBorder="1"/>
    <xf numFmtId="0" fontId="24" fillId="24" borderId="19" xfId="0" applyFont="1" applyFill="1" applyBorder="1"/>
    <xf numFmtId="0" fontId="22" fillId="25" borderId="32" xfId="0" applyFont="1" applyFill="1" applyBorder="1"/>
    <xf numFmtId="0" fontId="22" fillId="0" borderId="35" xfId="0" applyFont="1" applyFill="1" applyBorder="1"/>
    <xf numFmtId="0" fontId="25" fillId="26" borderId="36" xfId="0" applyFont="1" applyFill="1" applyBorder="1"/>
    <xf numFmtId="0" fontId="24" fillId="24" borderId="37" xfId="0" applyFont="1" applyFill="1" applyBorder="1"/>
    <xf numFmtId="165" fontId="24" fillId="24" borderId="30" xfId="0" applyNumberFormat="1" applyFont="1" applyFill="1" applyBorder="1" applyAlignment="1">
      <alignment horizontal="left"/>
    </xf>
    <xf numFmtId="164" fontId="25" fillId="0" borderId="0" xfId="0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/>
    <xf numFmtId="164" fontId="25" fillId="24" borderId="38" xfId="0" applyNumberFormat="1" applyFont="1" applyFill="1" applyBorder="1" applyAlignment="1">
      <alignment horizontal="center"/>
    </xf>
    <xf numFmtId="0" fontId="22" fillId="0" borderId="39" xfId="0" applyFont="1" applyFill="1" applyBorder="1"/>
    <xf numFmtId="165" fontId="22" fillId="0" borderId="29" xfId="0" applyNumberFormat="1" applyFont="1" applyFill="1" applyBorder="1" applyAlignment="1">
      <alignment horizontal="right"/>
    </xf>
    <xf numFmtId="165" fontId="22" fillId="25" borderId="24" xfId="0" applyNumberFormat="1" applyFont="1" applyFill="1" applyBorder="1" applyAlignment="1">
      <alignment horizontal="right"/>
    </xf>
    <xf numFmtId="0" fontId="20" fillId="25" borderId="40" xfId="0" applyFont="1" applyFill="1" applyBorder="1"/>
    <xf numFmtId="164" fontId="25" fillId="24" borderId="19" xfId="0" applyNumberFormat="1" applyFont="1" applyFill="1" applyBorder="1" applyAlignment="1">
      <alignment horizontal="center"/>
    </xf>
    <xf numFmtId="0" fontId="22" fillId="0" borderId="24" xfId="0" applyFont="1" applyBorder="1"/>
    <xf numFmtId="165" fontId="22" fillId="0" borderId="44" xfId="0" applyNumberFormat="1" applyFont="1" applyBorder="1" applyAlignment="1"/>
    <xf numFmtId="165" fontId="0" fillId="0" borderId="0" xfId="0" applyNumberFormat="1"/>
    <xf numFmtId="1" fontId="0" fillId="0" borderId="0" xfId="0" applyNumberFormat="1"/>
    <xf numFmtId="0" fontId="22" fillId="27" borderId="15" xfId="0" applyFont="1" applyFill="1" applyBorder="1"/>
    <xf numFmtId="165" fontId="22" fillId="27" borderId="43" xfId="0" applyNumberFormat="1" applyFont="1" applyFill="1" applyBorder="1" applyAlignment="1"/>
    <xf numFmtId="165" fontId="26" fillId="0" borderId="11" xfId="0" applyNumberFormat="1" applyFont="1" applyFill="1" applyBorder="1" applyAlignment="1">
      <alignment horizontal="left"/>
    </xf>
    <xf numFmtId="165" fontId="22" fillId="0" borderId="20" xfId="0" applyNumberFormat="1" applyFont="1" applyFill="1" applyBorder="1" applyAlignment="1"/>
    <xf numFmtId="165" fontId="22" fillId="0" borderId="0" xfId="0" applyNumberFormat="1" applyFont="1" applyFill="1" applyAlignment="1">
      <alignment horizontal="left"/>
    </xf>
    <xf numFmtId="165" fontId="22" fillId="0" borderId="12" xfId="0" applyNumberFormat="1" applyFont="1" applyFill="1" applyBorder="1" applyAlignment="1">
      <alignment horizontal="right"/>
    </xf>
    <xf numFmtId="0" fontId="22" fillId="0" borderId="41" xfId="0" applyFont="1" applyFill="1" applyBorder="1"/>
    <xf numFmtId="165" fontId="22" fillId="0" borderId="42" xfId="0" applyNumberFormat="1" applyFont="1" applyFill="1" applyBorder="1" applyAlignment="1"/>
    <xf numFmtId="0" fontId="22" fillId="0" borderId="24" xfId="0" applyFont="1" applyFill="1" applyBorder="1"/>
    <xf numFmtId="165" fontId="22" fillId="0" borderId="45" xfId="0" applyNumberFormat="1" applyFont="1" applyFill="1" applyBorder="1" applyAlignment="1"/>
    <xf numFmtId="165" fontId="6" fillId="0" borderId="0" xfId="0" applyNumberFormat="1" applyFont="1" applyFill="1"/>
    <xf numFmtId="0" fontId="0" fillId="28" borderId="0" xfId="0" applyFill="1"/>
    <xf numFmtId="1" fontId="0" fillId="28" borderId="0" xfId="0" applyNumberFormat="1" applyFill="1"/>
    <xf numFmtId="165" fontId="0" fillId="28" borderId="0" xfId="0" applyNumberFormat="1" applyFill="1"/>
    <xf numFmtId="0" fontId="6" fillId="28" borderId="0" xfId="0" applyFont="1" applyFill="1"/>
    <xf numFmtId="0" fontId="22" fillId="25" borderId="39" xfId="0" applyFont="1" applyFill="1" applyBorder="1"/>
    <xf numFmtId="165" fontId="22" fillId="25" borderId="29" xfId="0" applyNumberFormat="1" applyFont="1" applyFill="1" applyBorder="1" applyAlignment="1">
      <alignment horizontal="right"/>
    </xf>
    <xf numFmtId="0" fontId="22" fillId="29" borderId="25" xfId="0" applyFont="1" applyFill="1" applyBorder="1"/>
    <xf numFmtId="165" fontId="22" fillId="29" borderId="25" xfId="0" applyNumberFormat="1" applyFont="1" applyFill="1" applyBorder="1" applyAlignment="1">
      <alignment horizontal="right"/>
    </xf>
    <xf numFmtId="6" fontId="22" fillId="29" borderId="25" xfId="0" applyNumberFormat="1" applyFont="1" applyFill="1" applyBorder="1"/>
    <xf numFmtId="165" fontId="20" fillId="0" borderId="0" xfId="0" applyNumberFormat="1" applyFont="1"/>
    <xf numFmtId="165" fontId="25" fillId="26" borderId="25" xfId="0" applyNumberFormat="1" applyFont="1" applyFill="1" applyBorder="1" applyAlignment="1">
      <alignment horizontal="right"/>
    </xf>
    <xf numFmtId="44" fontId="25" fillId="24" borderId="22" xfId="42" applyFont="1" applyFill="1" applyBorder="1"/>
    <xf numFmtId="0" fontId="6" fillId="0" borderId="0" xfId="0" applyFont="1" applyFill="1"/>
    <xf numFmtId="0" fontId="25" fillId="27" borderId="36" xfId="0" applyFont="1" applyFill="1" applyBorder="1"/>
    <xf numFmtId="165" fontId="22" fillId="27" borderId="25" xfId="0" applyNumberFormat="1" applyFont="1" applyFill="1" applyBorder="1" applyAlignment="1">
      <alignment horizontal="right"/>
    </xf>
    <xf numFmtId="166" fontId="0" fillId="0" borderId="0" xfId="42" applyNumberFormat="1" applyFont="1"/>
    <xf numFmtId="167" fontId="0" fillId="0" borderId="0" xfId="43" applyNumberFormat="1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9"/>
  <sheetViews>
    <sheetView tabSelected="1" topLeftCell="A52" zoomScale="80" zoomScaleNormal="80" workbookViewId="0">
      <selection activeCell="C70" sqref="C70"/>
    </sheetView>
  </sheetViews>
  <sheetFormatPr defaultColWidth="9.109375" defaultRowHeight="13.2"/>
  <cols>
    <col min="2" max="2" width="57.109375" customWidth="1"/>
    <col min="3" max="3" width="10.33203125" style="2" customWidth="1"/>
    <col min="4" max="4" width="8.6640625" style="2" customWidth="1"/>
    <col min="5" max="5" width="11.44140625" style="2" customWidth="1"/>
    <col min="6" max="6" width="35.44140625" style="2" bestFit="1" customWidth="1"/>
    <col min="7" max="8" width="12" customWidth="1"/>
    <col min="9" max="9" width="11.33203125" customWidth="1"/>
    <col min="12" max="12" width="15.5546875" bestFit="1" customWidth="1"/>
    <col min="18" max="18" width="9.33203125" bestFit="1" customWidth="1"/>
    <col min="19" max="19" width="12.44140625" bestFit="1" customWidth="1"/>
    <col min="20" max="20" width="12.44140625" customWidth="1"/>
    <col min="23" max="23" width="20" bestFit="1" customWidth="1"/>
    <col min="24" max="24" width="11.109375" bestFit="1" customWidth="1"/>
  </cols>
  <sheetData>
    <row r="1" spans="2:6" ht="17.399999999999999">
      <c r="B1" s="1" t="s">
        <v>69</v>
      </c>
    </row>
    <row r="2" spans="2:6" ht="16.2" thickBot="1">
      <c r="B2" s="3" t="s">
        <v>67</v>
      </c>
      <c r="C2" s="37"/>
    </row>
    <row r="3" spans="2:6" ht="13.8" thickBot="1">
      <c r="B3" s="5" t="s">
        <v>73</v>
      </c>
      <c r="C3" s="23">
        <f>SUM(C4:C6)</f>
        <v>81835</v>
      </c>
      <c r="D3" s="34"/>
    </row>
    <row r="4" spans="2:6">
      <c r="B4" s="68" t="s">
        <v>32</v>
      </c>
      <c r="C4" s="69">
        <v>31019</v>
      </c>
      <c r="D4" s="70"/>
      <c r="E4" s="40"/>
    </row>
    <row r="5" spans="2:6">
      <c r="B5" s="68" t="s">
        <v>0</v>
      </c>
      <c r="C5" s="71">
        <v>1138</v>
      </c>
      <c r="D5" s="70"/>
    </row>
    <row r="6" spans="2:6" ht="13.8" thickBot="1">
      <c r="B6" s="6" t="s">
        <v>1</v>
      </c>
      <c r="C6" s="7">
        <v>49678</v>
      </c>
      <c r="D6" s="35"/>
    </row>
    <row r="7" spans="2:6" ht="13.8" thickBot="1">
      <c r="B7" s="8"/>
      <c r="C7" s="9"/>
      <c r="D7" s="4"/>
    </row>
    <row r="8" spans="2:6" ht="13.8" thickBot="1">
      <c r="B8" s="10" t="s">
        <v>2</v>
      </c>
      <c r="C8" s="56" t="s">
        <v>3</v>
      </c>
      <c r="D8" s="54"/>
      <c r="E8" s="41" t="s">
        <v>33</v>
      </c>
    </row>
    <row r="9" spans="2:6">
      <c r="B9" s="72" t="s">
        <v>5</v>
      </c>
      <c r="C9" s="73">
        <v>27010</v>
      </c>
      <c r="D9" s="55"/>
      <c r="E9" s="89" t="s">
        <v>92</v>
      </c>
    </row>
    <row r="10" spans="2:6">
      <c r="B10" s="62" t="s">
        <v>50</v>
      </c>
      <c r="C10" s="63">
        <v>4154</v>
      </c>
      <c r="D10" s="55"/>
      <c r="E10" s="41" t="s">
        <v>93</v>
      </c>
    </row>
    <row r="11" spans="2:6">
      <c r="B11" s="74" t="s">
        <v>51</v>
      </c>
      <c r="C11" s="75">
        <v>7614</v>
      </c>
      <c r="D11" s="55"/>
      <c r="E11" s="41" t="s">
        <v>93</v>
      </c>
    </row>
    <row r="12" spans="2:6" ht="13.8" thickBot="1">
      <c r="B12" s="66" t="s">
        <v>40</v>
      </c>
      <c r="C12" s="67">
        <v>297</v>
      </c>
      <c r="D12" s="55"/>
      <c r="E12" s="29"/>
    </row>
    <row r="13" spans="2:6" s="16" customFormat="1" ht="13.8" thickBot="1">
      <c r="B13" s="10" t="s">
        <v>6</v>
      </c>
      <c r="C13" s="12">
        <f>SUM(C9:C12)</f>
        <v>39075</v>
      </c>
      <c r="D13" s="55"/>
      <c r="E13" s="29"/>
      <c r="F13" s="86"/>
    </row>
    <row r="14" spans="2:6" s="16" customFormat="1" ht="13.8" thickBot="1">
      <c r="B14" s="13"/>
      <c r="C14" s="4"/>
      <c r="D14" s="4"/>
      <c r="E14" s="2"/>
      <c r="F14" s="2"/>
    </row>
    <row r="15" spans="2:6" s="16" customFormat="1" ht="13.8" thickBot="1">
      <c r="B15" s="14" t="s">
        <v>7</v>
      </c>
      <c r="C15" s="11" t="s">
        <v>3</v>
      </c>
      <c r="D15" s="24" t="s">
        <v>4</v>
      </c>
      <c r="E15" s="2"/>
      <c r="F15" s="2"/>
    </row>
    <row r="16" spans="2:6" s="16" customFormat="1">
      <c r="B16" s="42" t="s">
        <v>34</v>
      </c>
      <c r="C16" s="15">
        <f>D17</f>
        <v>1755.65</v>
      </c>
      <c r="D16" s="22"/>
      <c r="E16" s="2"/>
      <c r="F16" s="2"/>
    </row>
    <row r="17" spans="2:8" s="16" customFormat="1">
      <c r="B17" s="43" t="s">
        <v>75</v>
      </c>
      <c r="C17" s="17"/>
      <c r="D17" s="20">
        <f>C9*0.065</f>
        <v>1755.65</v>
      </c>
      <c r="E17" s="41" t="s">
        <v>84</v>
      </c>
      <c r="F17"/>
    </row>
    <row r="18" spans="2:8" s="16" customFormat="1">
      <c r="B18" s="45" t="s">
        <v>8</v>
      </c>
      <c r="C18" s="18">
        <v>1500</v>
      </c>
      <c r="D18" s="22"/>
      <c r="E18" s="2"/>
      <c r="F18" s="2"/>
    </row>
    <row r="19" spans="2:8" s="16" customFormat="1">
      <c r="B19" s="43" t="s">
        <v>9</v>
      </c>
      <c r="C19" s="17"/>
      <c r="D19" s="20">
        <v>1500</v>
      </c>
      <c r="E19" s="2"/>
      <c r="F19" s="2"/>
    </row>
    <row r="20" spans="2:8" s="16" customFormat="1">
      <c r="B20" s="45" t="s">
        <v>44</v>
      </c>
      <c r="C20" s="18">
        <f>SUM(D20:D23)</f>
        <v>21850</v>
      </c>
      <c r="D20" s="22"/>
      <c r="E20" s="29"/>
      <c r="F20" s="29"/>
    </row>
    <row r="21" spans="2:8" s="16" customFormat="1">
      <c r="B21" s="43" t="s">
        <v>70</v>
      </c>
      <c r="C21" s="17"/>
      <c r="D21" s="20">
        <v>15650</v>
      </c>
      <c r="E21" s="89" t="s">
        <v>95</v>
      </c>
      <c r="F21" s="29"/>
    </row>
    <row r="22" spans="2:8" s="16" customFormat="1">
      <c r="B22" s="43" t="s">
        <v>71</v>
      </c>
      <c r="C22" s="17"/>
      <c r="D22" s="20">
        <v>4400</v>
      </c>
      <c r="E22" s="89" t="s">
        <v>81</v>
      </c>
      <c r="F22" s="29"/>
    </row>
    <row r="23" spans="2:8" s="16" customFormat="1">
      <c r="B23" s="43" t="s">
        <v>76</v>
      </c>
      <c r="C23" s="17"/>
      <c r="D23" s="20">
        <v>1800</v>
      </c>
      <c r="E23" s="89" t="s">
        <v>81</v>
      </c>
      <c r="F23" s="29"/>
    </row>
    <row r="24" spans="2:8" s="16" customFormat="1">
      <c r="B24" s="45" t="s">
        <v>29</v>
      </c>
      <c r="C24" s="18">
        <f>D25</f>
        <v>600</v>
      </c>
      <c r="D24" s="22"/>
      <c r="E24" s="29"/>
      <c r="F24" s="29"/>
    </row>
    <row r="25" spans="2:8" s="16" customFormat="1">
      <c r="B25" s="43" t="s">
        <v>35</v>
      </c>
      <c r="C25" s="17"/>
      <c r="D25" s="20">
        <v>600</v>
      </c>
      <c r="E25" s="89" t="s">
        <v>81</v>
      </c>
      <c r="F25" s="29"/>
    </row>
    <row r="26" spans="2:8" s="16" customFormat="1">
      <c r="B26" s="45" t="s">
        <v>11</v>
      </c>
      <c r="C26" s="18">
        <v>1500</v>
      </c>
      <c r="D26" s="22"/>
      <c r="E26" s="29"/>
      <c r="F26" s="29"/>
    </row>
    <row r="27" spans="2:8">
      <c r="B27" s="43" t="s">
        <v>12</v>
      </c>
      <c r="C27" s="19"/>
      <c r="D27" s="20">
        <v>1500</v>
      </c>
      <c r="E27" s="29"/>
      <c r="F27" s="29"/>
      <c r="G27" s="30"/>
      <c r="H27" s="30"/>
    </row>
    <row r="28" spans="2:8">
      <c r="B28" s="45" t="s">
        <v>22</v>
      </c>
      <c r="C28" s="18">
        <f>SUM(D29:D33)</f>
        <v>4000</v>
      </c>
      <c r="D28" s="22"/>
    </row>
    <row r="29" spans="2:8">
      <c r="B29" s="46" t="s">
        <v>68</v>
      </c>
      <c r="C29" s="19"/>
      <c r="D29" s="25">
        <v>350</v>
      </c>
      <c r="E29" s="41" t="s">
        <v>77</v>
      </c>
    </row>
    <row r="30" spans="2:8" s="16" customFormat="1">
      <c r="B30" s="46" t="s">
        <v>37</v>
      </c>
      <c r="C30" s="19"/>
      <c r="D30" s="25">
        <v>50</v>
      </c>
      <c r="E30" s="2"/>
      <c r="F30" s="2"/>
    </row>
    <row r="31" spans="2:8" s="16" customFormat="1">
      <c r="B31" s="46" t="s">
        <v>72</v>
      </c>
      <c r="C31" s="19"/>
      <c r="D31" s="25">
        <v>750</v>
      </c>
      <c r="E31" s="41" t="s">
        <v>78</v>
      </c>
      <c r="F31" s="2"/>
    </row>
    <row r="32" spans="2:8" ht="13.5" customHeight="1">
      <c r="B32" s="46" t="s">
        <v>48</v>
      </c>
      <c r="C32" s="19"/>
      <c r="D32" s="25">
        <v>1500</v>
      </c>
    </row>
    <row r="33" spans="2:6" ht="13.5" customHeight="1">
      <c r="B33" s="46" t="s">
        <v>38</v>
      </c>
      <c r="C33" s="19"/>
      <c r="D33" s="25">
        <v>1350</v>
      </c>
      <c r="E33" s="41" t="s">
        <v>80</v>
      </c>
    </row>
    <row r="34" spans="2:6" ht="13.5" customHeight="1">
      <c r="B34" s="45" t="s">
        <v>36</v>
      </c>
      <c r="C34" s="18">
        <v>1000</v>
      </c>
      <c r="D34" s="22"/>
    </row>
    <row r="35" spans="2:6" s="16" customFormat="1" ht="13.8" thickBot="1">
      <c r="B35" s="47" t="s">
        <v>7</v>
      </c>
      <c r="C35" s="21">
        <f>SUM(C16:C34)</f>
        <v>32205.65</v>
      </c>
      <c r="D35" s="21"/>
      <c r="E35" s="2"/>
      <c r="F35" s="2"/>
    </row>
    <row r="36" spans="2:6" ht="13.8" thickBot="1">
      <c r="B36" s="48" t="s">
        <v>26</v>
      </c>
      <c r="C36" s="11" t="s">
        <v>25</v>
      </c>
      <c r="D36" s="61" t="s">
        <v>4</v>
      </c>
    </row>
    <row r="37" spans="2:6">
      <c r="B37" s="45" t="s">
        <v>19</v>
      </c>
      <c r="C37" s="31">
        <f>SUM(D38)</f>
        <v>100</v>
      </c>
      <c r="D37" s="60"/>
    </row>
    <row r="38" spans="2:6">
      <c r="B38" s="43"/>
      <c r="C38" s="19"/>
      <c r="D38" s="25">
        <v>100</v>
      </c>
    </row>
    <row r="39" spans="2:6">
      <c r="B39" s="45" t="s">
        <v>18</v>
      </c>
      <c r="C39" s="18">
        <f>SUM(D40)</f>
        <v>50</v>
      </c>
      <c r="D39" s="22"/>
    </row>
    <row r="40" spans="2:6">
      <c r="B40" s="43" t="s">
        <v>10</v>
      </c>
      <c r="C40" s="17"/>
      <c r="D40" s="20">
        <v>50</v>
      </c>
    </row>
    <row r="41" spans="2:6" s="16" customFormat="1">
      <c r="B41" s="49" t="s">
        <v>20</v>
      </c>
      <c r="C41" s="18">
        <f>SUM(D42:D42)</f>
        <v>250</v>
      </c>
      <c r="D41" s="22"/>
      <c r="E41" s="2"/>
      <c r="F41" s="2"/>
    </row>
    <row r="42" spans="2:6" s="16" customFormat="1">
      <c r="B42" s="32" t="s">
        <v>21</v>
      </c>
      <c r="C42" s="38"/>
      <c r="D42" s="20">
        <v>250</v>
      </c>
      <c r="E42" s="2"/>
      <c r="F42" s="2"/>
    </row>
    <row r="43" spans="2:6">
      <c r="B43" s="49" t="s">
        <v>42</v>
      </c>
      <c r="C43" s="18">
        <v>2000</v>
      </c>
      <c r="D43" s="22"/>
    </row>
    <row r="44" spans="2:6">
      <c r="B44" s="32" t="s">
        <v>43</v>
      </c>
      <c r="C44" s="38"/>
      <c r="D44" s="20">
        <v>2000</v>
      </c>
    </row>
    <row r="45" spans="2:6">
      <c r="B45" s="83" t="s">
        <v>66</v>
      </c>
      <c r="C45" s="85">
        <v>500</v>
      </c>
      <c r="D45" s="84"/>
    </row>
    <row r="46" spans="2:6">
      <c r="B46" s="32" t="s">
        <v>65</v>
      </c>
      <c r="C46" s="38"/>
      <c r="D46" s="20">
        <v>500</v>
      </c>
      <c r="E46" s="41" t="s">
        <v>79</v>
      </c>
    </row>
    <row r="47" spans="2:6">
      <c r="B47" s="45" t="s">
        <v>22</v>
      </c>
      <c r="C47" s="59">
        <f>SUM(D48:D51)</f>
        <v>1675</v>
      </c>
      <c r="D47" s="22"/>
    </row>
    <row r="48" spans="2:6" s="16" customFormat="1">
      <c r="B48" s="44" t="s">
        <v>23</v>
      </c>
      <c r="C48" s="32"/>
      <c r="D48" s="20">
        <v>500</v>
      </c>
      <c r="E48" s="2"/>
      <c r="F48" s="2"/>
    </row>
    <row r="49" spans="2:6" s="16" customFormat="1">
      <c r="B49" s="44" t="s">
        <v>82</v>
      </c>
      <c r="C49" s="32"/>
      <c r="D49" s="20">
        <v>1000</v>
      </c>
      <c r="E49" s="2"/>
      <c r="F49" s="2"/>
    </row>
    <row r="50" spans="2:6" s="16" customFormat="1">
      <c r="B50" s="46" t="s">
        <v>24</v>
      </c>
      <c r="C50" s="38"/>
      <c r="D50" s="19">
        <v>25</v>
      </c>
      <c r="E50" s="2"/>
      <c r="F50" s="2"/>
    </row>
    <row r="51" spans="2:6">
      <c r="B51" s="50" t="s">
        <v>27</v>
      </c>
      <c r="C51" s="39"/>
      <c r="D51" s="19">
        <v>150</v>
      </c>
    </row>
    <row r="52" spans="2:6" ht="13.8" thickBot="1">
      <c r="B52" s="47" t="s">
        <v>26</v>
      </c>
      <c r="C52" s="21">
        <f>SUM(C37:C47)</f>
        <v>4575</v>
      </c>
      <c r="D52" s="26"/>
      <c r="E52" s="29"/>
      <c r="F52" s="29"/>
    </row>
    <row r="53" spans="2:6" s="30" customFormat="1" ht="13.8" thickBot="1">
      <c r="B53" s="48" t="s">
        <v>13</v>
      </c>
      <c r="C53" s="11" t="s">
        <v>3</v>
      </c>
      <c r="D53" s="27" t="s">
        <v>4</v>
      </c>
      <c r="E53" s="2"/>
      <c r="F53" s="2"/>
    </row>
    <row r="54" spans="2:6" s="30" customFormat="1">
      <c r="B54" s="45" t="s">
        <v>41</v>
      </c>
      <c r="C54" s="18">
        <f>SUM(D55)</f>
        <v>500</v>
      </c>
      <c r="D54" s="22"/>
      <c r="E54" s="29"/>
      <c r="F54" s="29"/>
    </row>
    <row r="55" spans="2:6" s="30" customFormat="1">
      <c r="B55" s="44" t="s">
        <v>15</v>
      </c>
      <c r="C55" s="17"/>
      <c r="D55" s="20">
        <v>500</v>
      </c>
      <c r="E55" s="29"/>
      <c r="F55" s="29"/>
    </row>
    <row r="56" spans="2:6" s="30" customFormat="1">
      <c r="B56" s="45" t="s">
        <v>14</v>
      </c>
      <c r="C56" s="22">
        <f>SUM(D57)</f>
        <v>500</v>
      </c>
      <c r="D56" s="22"/>
      <c r="E56" s="29"/>
      <c r="F56" s="29"/>
    </row>
    <row r="57" spans="2:6" s="30" customFormat="1">
      <c r="B57" s="44" t="s">
        <v>28</v>
      </c>
      <c r="C57" s="20"/>
      <c r="D57" s="17">
        <v>500</v>
      </c>
      <c r="E57" s="29"/>
      <c r="F57" s="29"/>
    </row>
    <row r="58" spans="2:6" s="30" customFormat="1">
      <c r="B58" s="45" t="s">
        <v>17</v>
      </c>
      <c r="C58" s="22">
        <f>SUM(D59)</f>
        <v>500</v>
      </c>
      <c r="D58" s="22"/>
      <c r="E58" s="29"/>
      <c r="F58" s="29"/>
    </row>
    <row r="59" spans="2:6" s="33" customFormat="1">
      <c r="B59" s="44" t="s">
        <v>28</v>
      </c>
      <c r="C59" s="20"/>
      <c r="D59" s="17">
        <v>500</v>
      </c>
      <c r="E59" s="29"/>
      <c r="F59" s="29"/>
    </row>
    <row r="60" spans="2:6" s="33" customFormat="1">
      <c r="B60" s="45" t="s">
        <v>16</v>
      </c>
      <c r="C60" s="18">
        <f>SUM(D61:D62)</f>
        <v>2525</v>
      </c>
      <c r="D60" s="22"/>
      <c r="E60" s="29"/>
      <c r="F60" s="29"/>
    </row>
    <row r="61" spans="2:6" s="33" customFormat="1">
      <c r="B61" s="46" t="s">
        <v>49</v>
      </c>
      <c r="C61" s="19"/>
      <c r="D61" s="25">
        <v>525</v>
      </c>
      <c r="E61" s="29"/>
      <c r="F61" s="29"/>
    </row>
    <row r="62" spans="2:6">
      <c r="B62" s="44" t="s">
        <v>74</v>
      </c>
      <c r="C62" s="17"/>
      <c r="D62" s="20">
        <v>2000</v>
      </c>
      <c r="E62" s="33"/>
      <c r="F62" s="33"/>
    </row>
    <row r="63" spans="2:6" ht="13.8" thickBot="1">
      <c r="B63" s="51" t="s">
        <v>13</v>
      </c>
      <c r="C63" s="26">
        <f>SUM(C54:C62)</f>
        <v>4025</v>
      </c>
      <c r="D63" s="26"/>
    </row>
    <row r="64" spans="2:6" ht="13.8" thickBot="1">
      <c r="B64" s="48" t="s">
        <v>31</v>
      </c>
      <c r="C64" s="11" t="s">
        <v>3</v>
      </c>
      <c r="D64" s="27" t="s">
        <v>4</v>
      </c>
    </row>
    <row r="65" spans="2:6">
      <c r="B65" s="49" t="s">
        <v>39</v>
      </c>
      <c r="C65" s="22">
        <f>SUM(D66:D68)</f>
        <v>4500</v>
      </c>
      <c r="D65" s="22"/>
    </row>
    <row r="66" spans="2:6">
      <c r="B66" s="57" t="s">
        <v>45</v>
      </c>
      <c r="C66" s="58"/>
      <c r="D66" s="58">
        <v>1500</v>
      </c>
    </row>
    <row r="67" spans="2:6">
      <c r="B67" s="57" t="s">
        <v>47</v>
      </c>
      <c r="C67" s="58"/>
      <c r="D67" s="58">
        <v>1500</v>
      </c>
    </row>
    <row r="68" spans="2:6">
      <c r="B68" s="57" t="s">
        <v>46</v>
      </c>
      <c r="C68" s="58"/>
      <c r="D68" s="58">
        <v>1500</v>
      </c>
    </row>
    <row r="69" spans="2:6">
      <c r="B69" s="81" t="s">
        <v>64</v>
      </c>
      <c r="C69" s="82">
        <v>1280</v>
      </c>
      <c r="D69" s="82"/>
      <c r="E69" s="41" t="s">
        <v>83</v>
      </c>
      <c r="F69" s="86"/>
    </row>
    <row r="70" spans="2:6" ht="13.8" thickBot="1">
      <c r="B70" s="47" t="s">
        <v>31</v>
      </c>
      <c r="C70" s="21">
        <f>SUM(C65:C69)</f>
        <v>5780</v>
      </c>
      <c r="D70" s="21"/>
    </row>
    <row r="71" spans="2:6" ht="13.8" thickBot="1">
      <c r="B71" s="48" t="s">
        <v>57</v>
      </c>
      <c r="C71" s="88"/>
      <c r="D71" s="36"/>
    </row>
    <row r="72" spans="2:6">
      <c r="B72" s="90"/>
      <c r="C72" s="91"/>
      <c r="D72" s="91"/>
    </row>
    <row r="73" spans="2:6">
      <c r="B73" s="90"/>
      <c r="C73" s="91"/>
      <c r="D73" s="91"/>
    </row>
    <row r="74" spans="2:6">
      <c r="B74" s="51"/>
      <c r="C74" s="87" t="s">
        <v>3</v>
      </c>
      <c r="D74" s="26"/>
    </row>
    <row r="75" spans="2:6" ht="13.8" thickBot="1">
      <c r="B75" s="52" t="s">
        <v>85</v>
      </c>
      <c r="C75" s="28">
        <f>C35+C52+C63+C70</f>
        <v>46585.65</v>
      </c>
      <c r="D75" s="52"/>
    </row>
    <row r="76" spans="2:6" ht="13.8" thickBot="1">
      <c r="B76" s="53" t="s">
        <v>86</v>
      </c>
      <c r="C76" s="23">
        <f>C3+C13-C35-C52-C63-C70-C72</f>
        <v>74324.350000000006</v>
      </c>
      <c r="D76" s="53"/>
    </row>
    <row r="77" spans="2:6" ht="13.8" thickBot="1">
      <c r="B77" s="53" t="s">
        <v>30</v>
      </c>
      <c r="C77" s="23">
        <f>(SUM(C9,C10,C11)-C35)</f>
        <v>6572.3499999999985</v>
      </c>
      <c r="D77" s="53"/>
    </row>
    <row r="78" spans="2:6" ht="13.8" thickBot="1">
      <c r="B78" s="53" t="s">
        <v>87</v>
      </c>
      <c r="C78" s="23">
        <f>C76-C3</f>
        <v>-7510.6499999999942</v>
      </c>
      <c r="D78" s="53"/>
    </row>
    <row r="79" spans="2:6">
      <c r="C79"/>
    </row>
  </sheetData>
  <phoneticPr fontId="0" type="noConversion"/>
  <pageMargins left="0.75" right="0.75" top="0.5" bottom="0.5" header="0.5" footer="0.5"/>
  <pageSetup scale="73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zoomScaleNormal="100" workbookViewId="0">
      <selection activeCell="B18" sqref="B18"/>
    </sheetView>
  </sheetViews>
  <sheetFormatPr defaultRowHeight="13.2"/>
  <cols>
    <col min="2" max="2" width="9.77734375" bestFit="1" customWidth="1"/>
    <col min="3" max="3" width="10.44140625" bestFit="1" customWidth="1"/>
    <col min="4" max="4" width="13.44140625" bestFit="1" customWidth="1"/>
    <col min="5" max="5" width="10.6640625" customWidth="1"/>
    <col min="6" max="6" width="11.44140625" bestFit="1" customWidth="1"/>
  </cols>
  <sheetData>
    <row r="1" spans="1:8" s="33" customFormat="1">
      <c r="A1" s="33" t="s">
        <v>52</v>
      </c>
      <c r="B1" s="33" t="s">
        <v>53</v>
      </c>
      <c r="C1" s="33" t="s">
        <v>51</v>
      </c>
      <c r="D1" s="33" t="s">
        <v>54</v>
      </c>
      <c r="E1" s="33" t="s">
        <v>58</v>
      </c>
      <c r="F1" s="33" t="s">
        <v>59</v>
      </c>
    </row>
    <row r="2" spans="1:8">
      <c r="A2">
        <v>2014</v>
      </c>
      <c r="B2">
        <v>167</v>
      </c>
      <c r="C2" s="64">
        <v>4629</v>
      </c>
      <c r="D2" s="64">
        <v>2400</v>
      </c>
      <c r="E2" s="64">
        <v>26845</v>
      </c>
      <c r="F2" s="64">
        <f>175+3615+21425+215-1000-65-35-225-250-135-130</f>
        <v>23590</v>
      </c>
    </row>
    <row r="3" spans="1:8">
      <c r="A3">
        <v>2015</v>
      </c>
      <c r="B3">
        <v>190</v>
      </c>
      <c r="C3" s="64">
        <v>8000</v>
      </c>
      <c r="D3" s="64">
        <v>1030</v>
      </c>
      <c r="E3" s="64">
        <v>31380</v>
      </c>
      <c r="F3" s="64">
        <f>1055+7755+22375+100-1240-1000-500-50-140-225-175-400</f>
        <v>27555</v>
      </c>
    </row>
    <row r="4" spans="1:8">
      <c r="A4">
        <v>2016</v>
      </c>
      <c r="B4">
        <v>207</v>
      </c>
      <c r="C4" s="64">
        <v>10450</v>
      </c>
      <c r="D4" s="64">
        <v>4482</v>
      </c>
      <c r="E4" s="64">
        <v>34532</v>
      </c>
      <c r="F4" s="64">
        <f>240+8905+24432+220-2000-1000-500-400-500-550-105-165-21-360-550-220</f>
        <v>27426</v>
      </c>
    </row>
    <row r="5" spans="1:8">
      <c r="A5">
        <v>2017</v>
      </c>
      <c r="B5">
        <v>160</v>
      </c>
      <c r="C5" s="64">
        <v>9500</v>
      </c>
      <c r="D5" s="64">
        <v>3684</v>
      </c>
      <c r="E5" s="64">
        <v>27665</v>
      </c>
      <c r="F5" s="64">
        <f>360+17905+9370+30-1500-3500</f>
        <v>22665</v>
      </c>
    </row>
    <row r="6" spans="1:8">
      <c r="A6">
        <v>2018</v>
      </c>
      <c r="B6">
        <v>210</v>
      </c>
      <c r="C6" s="76">
        <v>6470</v>
      </c>
      <c r="D6" s="64">
        <v>4750</v>
      </c>
      <c r="E6" s="64">
        <v>25165</v>
      </c>
      <c r="F6" s="64">
        <f>360+19625+4980-2000-500-1000-1000</f>
        <v>20465</v>
      </c>
    </row>
    <row r="7" spans="1:8">
      <c r="A7">
        <v>2019</v>
      </c>
      <c r="B7">
        <v>247</v>
      </c>
      <c r="C7" s="76">
        <v>7745</v>
      </c>
      <c r="D7" s="64">
        <v>3138</v>
      </c>
      <c r="E7" s="64">
        <v>33065</v>
      </c>
      <c r="F7" s="64">
        <v>33590</v>
      </c>
    </row>
    <row r="8" spans="1:8">
      <c r="A8" s="41" t="s">
        <v>55</v>
      </c>
      <c r="B8">
        <f>AVERAGE(B2:B7)</f>
        <v>196.83333333333334</v>
      </c>
      <c r="C8" s="64">
        <f>AVERAGE(C2:C6)</f>
        <v>7809.8</v>
      </c>
      <c r="D8" s="64">
        <f>AVERAGE(D2:D6)</f>
        <v>3269.2</v>
      </c>
      <c r="E8" s="64">
        <f>AVERAGE(E2:E7)</f>
        <v>29775.333333333332</v>
      </c>
      <c r="F8" s="64">
        <f>AVERAGE(F2:F6)</f>
        <v>24340.2</v>
      </c>
    </row>
    <row r="9" spans="1:8">
      <c r="A9" s="41" t="s">
        <v>56</v>
      </c>
      <c r="B9" s="65">
        <f>B8*0.9</f>
        <v>177.15</v>
      </c>
      <c r="C9" s="64">
        <f t="shared" ref="C9:F9" si="0">C8*0.9</f>
        <v>7028.8200000000006</v>
      </c>
      <c r="D9" s="64">
        <f t="shared" si="0"/>
        <v>2942.2799999999997</v>
      </c>
      <c r="E9" s="64">
        <f t="shared" si="0"/>
        <v>26797.8</v>
      </c>
      <c r="F9" s="64">
        <f t="shared" si="0"/>
        <v>21906.18</v>
      </c>
    </row>
    <row r="10" spans="1:8">
      <c r="A10" s="77" t="s">
        <v>62</v>
      </c>
      <c r="B10" s="78">
        <f>AVERAGE(B4:B7)</f>
        <v>206</v>
      </c>
      <c r="C10" s="79">
        <f>AVERAGE(C4:C7)</f>
        <v>8541.25</v>
      </c>
      <c r="D10" s="79">
        <f>AVERAGE(D4:D7)</f>
        <v>4013.5</v>
      </c>
      <c r="E10" s="79">
        <f>AVERAGE(E4:E7)</f>
        <v>30106.75</v>
      </c>
      <c r="F10" s="79">
        <f>AVERAGE(F4:F7)</f>
        <v>26036.5</v>
      </c>
    </row>
    <row r="11" spans="1:8">
      <c r="A11" s="80" t="s">
        <v>63</v>
      </c>
      <c r="B11" s="78">
        <f>B10*0.9</f>
        <v>185.4</v>
      </c>
      <c r="C11" s="79">
        <f t="shared" ref="C11:F11" si="1">C10*0.9</f>
        <v>7687.125</v>
      </c>
      <c r="D11" s="79">
        <f t="shared" si="1"/>
        <v>3612.15</v>
      </c>
      <c r="E11" s="79">
        <f t="shared" si="1"/>
        <v>27096.075000000001</v>
      </c>
      <c r="F11" s="79">
        <f t="shared" si="1"/>
        <v>23432.850000000002</v>
      </c>
    </row>
    <row r="15" spans="1:8">
      <c r="H15" s="41" t="s">
        <v>60</v>
      </c>
    </row>
    <row r="16" spans="1:8">
      <c r="A16" t="s">
        <v>88</v>
      </c>
      <c r="B16" s="93">
        <f>AVERAGE(B5,B7)</f>
        <v>203.5</v>
      </c>
      <c r="C16" s="92">
        <f t="shared" ref="C16:F16" si="2">AVERAGE(C5,C7)</f>
        <v>8622.5</v>
      </c>
      <c r="D16" s="92">
        <f t="shared" si="2"/>
        <v>3411</v>
      </c>
      <c r="E16" s="92">
        <f t="shared" si="2"/>
        <v>30365</v>
      </c>
      <c r="F16" s="92">
        <f t="shared" si="2"/>
        <v>28127.5</v>
      </c>
      <c r="H16" s="41" t="s">
        <v>61</v>
      </c>
    </row>
    <row r="17" spans="1:6">
      <c r="A17" t="s">
        <v>89</v>
      </c>
      <c r="B17" s="93">
        <f>AVERAGE(B4,B6)</f>
        <v>208.5</v>
      </c>
      <c r="C17" s="92">
        <f t="shared" ref="C17:F17" si="3">AVERAGE(C4,C6)</f>
        <v>8460</v>
      </c>
      <c r="D17" s="92">
        <f t="shared" si="3"/>
        <v>4616</v>
      </c>
      <c r="E17" s="92">
        <f t="shared" si="3"/>
        <v>29848.5</v>
      </c>
      <c r="F17" s="92">
        <f t="shared" si="3"/>
        <v>23945.5</v>
      </c>
    </row>
    <row r="18" spans="1:6">
      <c r="A18" t="s">
        <v>94</v>
      </c>
      <c r="B18" s="93">
        <f>B17*0.9</f>
        <v>187.65</v>
      </c>
      <c r="C18" s="92">
        <f>C17*0.9</f>
        <v>7614</v>
      </c>
      <c r="D18" s="92">
        <f>D17*0.9</f>
        <v>4154.4000000000005</v>
      </c>
      <c r="E18" s="92"/>
      <c r="F18" s="92"/>
    </row>
    <row r="19" spans="1:6">
      <c r="A19" t="s">
        <v>90</v>
      </c>
      <c r="B19" s="93">
        <f>AVERAGE(B3,B5,B7)</f>
        <v>199</v>
      </c>
      <c r="C19" s="92">
        <f t="shared" ref="C19:F19" si="4">AVERAGE(C3,C5,C7)</f>
        <v>8415</v>
      </c>
      <c r="D19" s="92">
        <f t="shared" si="4"/>
        <v>2617.3333333333335</v>
      </c>
      <c r="E19" s="92">
        <f t="shared" si="4"/>
        <v>30703.333333333332</v>
      </c>
      <c r="F19" s="92">
        <f t="shared" si="4"/>
        <v>27936.666666666668</v>
      </c>
    </row>
    <row r="20" spans="1:6">
      <c r="A20" t="s">
        <v>91</v>
      </c>
      <c r="B20" s="93">
        <f>AVERAGE(B2,B4,B6)</f>
        <v>194.66666666666666</v>
      </c>
      <c r="C20" s="92">
        <f t="shared" ref="C20:F20" si="5">AVERAGE(C2,C4,C6)</f>
        <v>7183</v>
      </c>
      <c r="D20" s="92">
        <f t="shared" si="5"/>
        <v>3877.3333333333335</v>
      </c>
      <c r="E20" s="92">
        <f t="shared" si="5"/>
        <v>28847.333333333332</v>
      </c>
      <c r="F20" s="92">
        <f t="shared" si="5"/>
        <v>23827</v>
      </c>
    </row>
    <row r="21" spans="1:6">
      <c r="B21" s="93">
        <f>B20*0.9</f>
        <v>175.2</v>
      </c>
      <c r="C21" s="92">
        <f>C20*0.9</f>
        <v>6464.7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COWY AFS FY20 Budget</vt:lpstr>
      <vt:lpstr>Past Meeting Averages</vt:lpstr>
      <vt:lpstr>'COWY AFS FY20 Budget'!Print_Area</vt:lpstr>
    </vt:vector>
  </TitlesOfParts>
  <Company>swca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awidmer</dc:creator>
  <cp:lastModifiedBy>Eric Fetherman</cp:lastModifiedBy>
  <cp:lastPrinted>2018-03-01T16:29:50Z</cp:lastPrinted>
  <dcterms:created xsi:type="dcterms:W3CDTF">2010-03-03T00:06:22Z</dcterms:created>
  <dcterms:modified xsi:type="dcterms:W3CDTF">2019-10-22T16:55:06Z</dcterms:modified>
</cp:coreProperties>
</file>